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tabRatio="20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<sst xmlns="http://schemas.openxmlformats.org/spreadsheetml/2006/main" count="33" uniqueCount="27">
  <si>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Location of habitable zone at zero age main sequence</t>
  </si>
  <si>
    <t>Maximum time star will be in main sequence stage
(Gyr)</t>
  </si>
  <si>
    <t>Luminosity of star at zero age main sequence
(in solar luminosities, L)</t>
  </si>
  <si>
    <t>Mass of Planet
(Solar mass)</t>
  </si>
  <si>
    <t xml:space="preserve">
(sidereal years)</t>
  </si>
  <si>
    <t>(sidereal days)</t>
  </si>
  <si>
    <t>Width of habitable zone
(AU)</t>
  </si>
  <si>
    <t>Luminosity of star at habitable zone transit
(in solar luminosities, L)</t>
  </si>
  <si>
    <t>Location of habitable zone at habitable zone transit</t>
  </si>
  <si>
    <t>Luminosity of star at main sequence end
(in solar luminosities, L)</t>
  </si>
  <si>
    <t>Location of habitable zone at main sequence end</t>
  </si>
  <si>
    <t>Mass of Star</t>
  </si>
  <si>
    <t>(Solar mass)</t>
  </si>
  <si>
    <t>(grams)</t>
  </si>
  <si>
    <t>Orbit of Greatest Opportunity</t>
  </si>
  <si>
    <t>(AU)</t>
  </si>
  <si>
    <t>(cm)</t>
  </si>
  <si>
    <t>(sec)</t>
  </si>
  <si>
    <t>(Gyr))</t>
  </si>
  <si>
    <t>Maximum time for biological evolution (Gyr)</t>
  </si>
  <si>
    <t>Original rotational peroid of planet (sec)</t>
  </si>
  <si>
    <t>Orbital period for planet at orbit of greatest opportunity</t>
  </si>
  <si>
    <t xml:space="preserve">Time for planet in OGO to lock in synchronous orbit </t>
  </si>
  <si>
    <t>Inner
radius
(AU)</t>
  </si>
  <si>
    <t>Outer
radius
(AU)</t>
  </si>
  <si>
    <t>Time to habitable zone transit = max. time in habitable zone for planet at OGO
(Gyr)</t>
  </si>
  <si>
    <t>A method for comparing the best-case scenarios for habitable zones around stars of different masses.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</si>
</sst>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0"/>
    <numFmt numFmtId="166" formatCode="0.000E+00"/>
    <numFmt numFmtId="167" formatCode="#,##0.000"/>
  </numFmts>
  <fonts count="50">
    <font>
      <sz val="10"/>
      <name val="Arial"/>
      <family val="0"/>
    </font>
    <font>
      <sz val="8"/>
      <name val="Arial Narrow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Arial"/>
      <family val="0"/>
    </font>
    <font>
      <sz val="8.25"/>
      <color indexed="8"/>
      <name val="Arial"/>
      <family val="0"/>
    </font>
    <font>
      <sz val="11.5"/>
      <color indexed="8"/>
      <name val="Arial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Alignment="1">
      <alignment/>
    </xf>
    <xf numFmtId="165" fontId="1" fillId="0" borderId="15" xfId="0" applyNumberFormat="1" applyFont="1" applyBorder="1" applyAlignment="1">
      <alignment horizontal="center" wrapText="1"/>
    </xf>
    <xf numFmtId="165" fontId="1" fillId="0" borderId="11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1" fontId="1" fillId="0" borderId="15" xfId="0" applyNumberFormat="1" applyFont="1" applyBorder="1" applyAlignment="1">
      <alignment horizontal="center"/>
    </xf>
    <xf numFmtId="11" fontId="1" fillId="0" borderId="11" xfId="0" applyNumberFormat="1" applyFont="1" applyBorder="1" applyAlignment="1">
      <alignment/>
    </xf>
    <xf numFmtId="11" fontId="1" fillId="0" borderId="13" xfId="0" applyNumberFormat="1" applyFont="1" applyBorder="1" applyAlignment="1">
      <alignment/>
    </xf>
    <xf numFmtId="11" fontId="1" fillId="0" borderId="0" xfId="0" applyNumberFormat="1" applyFont="1" applyAlignment="1">
      <alignment/>
    </xf>
    <xf numFmtId="11" fontId="1" fillId="0" borderId="15" xfId="0" applyNumberFormat="1" applyFont="1" applyBorder="1" applyAlignment="1">
      <alignment horizontal="center" wrapText="1"/>
    </xf>
    <xf numFmtId="165" fontId="1" fillId="0" borderId="16" xfId="0" applyNumberFormat="1" applyFont="1" applyBorder="1" applyAlignment="1">
      <alignment horizontal="center" wrapText="1"/>
    </xf>
    <xf numFmtId="165" fontId="1" fillId="0" borderId="17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7" fontId="1" fillId="0" borderId="15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67" fontId="1" fillId="0" borderId="13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wrapText="1"/>
    </xf>
    <xf numFmtId="165" fontId="1" fillId="0" borderId="19" xfId="0" applyNumberFormat="1" applyFont="1" applyBorder="1" applyAlignment="1">
      <alignment horizontal="center" wrapText="1"/>
    </xf>
    <xf numFmtId="165" fontId="1" fillId="0" borderId="20" xfId="0" applyNumberFormat="1" applyFont="1" applyBorder="1" applyAlignment="1">
      <alignment horizontal="center" wrapText="1"/>
    </xf>
    <xf numFmtId="0" fontId="1" fillId="0" borderId="21" xfId="0" applyFont="1" applyBorder="1" applyAlignment="1">
      <alignment/>
    </xf>
    <xf numFmtId="165" fontId="1" fillId="0" borderId="2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165" fontId="1" fillId="0" borderId="19" xfId="0" applyNumberFormat="1" applyFont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11" fontId="1" fillId="0" borderId="21" xfId="0" applyNumberFormat="1" applyFont="1" applyBorder="1" applyAlignment="1">
      <alignment/>
    </xf>
    <xf numFmtId="165" fontId="1" fillId="0" borderId="21" xfId="0" applyNumberFormat="1" applyFont="1" applyBorder="1" applyAlignment="1">
      <alignment/>
    </xf>
    <xf numFmtId="167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1" fontId="1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Luminosity as a function of star mass at zero age main sequence</a:t>
            </a:r>
          </a:p>
        </c:rich>
      </c:tx>
      <c:layout>
        <c:manualLayout>
          <c:xMode val="factor"/>
          <c:yMode val="factor"/>
          <c:x val="-0.003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207"/>
          <c:w val="0.91425"/>
          <c:h val="0.696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Sheet1!$A$8:$A$27</c:f>
              <c:numCache/>
            </c:numRef>
          </c:xVal>
          <c:yVal>
            <c:numRef>
              <c:f>Sheet1!$D$8:$D$27</c:f>
              <c:numCache/>
            </c:numRef>
          </c:yVal>
          <c:smooth val="1"/>
        </c:ser>
        <c:axId val="7033340"/>
        <c:axId val="63300061"/>
      </c:scatterChart>
      <c:valAx>
        <c:axId val="703334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Star Mass (Solar masses)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 val="autoZero"/>
        <c:crossBetween val="midCat"/>
        <c:dispUnits/>
      </c:valAx>
      <c:valAx>
        <c:axId val="6330006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Luminosity (Solar Luminosity)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3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Maximum time star will be in main sequence stage as a function of star mass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"/>
          <c:y val="0.2065"/>
          <c:w val="0.8785"/>
          <c:h val="0.69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Sheet1!$A$8:$A$27</c:f>
              <c:numCache/>
            </c:numRef>
          </c:xVal>
          <c:yVal>
            <c:numRef>
              <c:f>Sheet1!$T$8:$T$27</c:f>
              <c:numCache/>
            </c:numRef>
          </c:yVal>
          <c:smooth val="1"/>
        </c:ser>
        <c:axId val="32829638"/>
        <c:axId val="27031287"/>
      </c:scatterChart>
      <c:valAx>
        <c:axId val="3282963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Stellar mass (Solar masses)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31287"/>
        <c:crosses val="autoZero"/>
        <c:crossBetween val="midCat"/>
        <c:dispUnits/>
      </c:valAx>
      <c:valAx>
        <c:axId val="27031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in main sequence stage (Gyr)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96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Time in main sequence and maximum residencey in habitable zone, as a function of star mass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325"/>
          <c:w val="0.93825"/>
          <c:h val="0.72675"/>
        </c:manualLayout>
      </c:layout>
      <c:scatterChart>
        <c:scatterStyle val="smoothMarker"/>
        <c:varyColors val="0"/>
        <c:ser>
          <c:idx val="0"/>
          <c:order val="0"/>
          <c:tx>
            <c:v>Main sequence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Sheet1!$A$8:$A$27</c:f>
              <c:numCache/>
            </c:numRef>
          </c:xVal>
          <c:yVal>
            <c:numRef>
              <c:f>Sheet1!$T$8:$T$27</c:f>
              <c:numCache/>
            </c:numRef>
          </c:yVal>
          <c:smooth val="1"/>
        </c:ser>
        <c:ser>
          <c:idx val="1"/>
          <c:order val="1"/>
          <c:tx>
            <c:v>Habitable zone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Sheet1!$A$8:$A$27</c:f>
              <c:numCache/>
            </c:numRef>
          </c:xVal>
          <c:yVal>
            <c:numRef>
              <c:f>Sheet1!$U$8:$U$27</c:f>
              <c:numCache/>
            </c:numRef>
          </c:yVal>
          <c:smooth val="1"/>
        </c:ser>
        <c:axId val="41954992"/>
        <c:axId val="42050609"/>
      </c:scatterChart>
      <c:valAx>
        <c:axId val="4195499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Stellar mass (Solar masses)</a:t>
                </a:r>
              </a:p>
            </c:rich>
          </c:tx>
          <c:layout>
            <c:manualLayout>
              <c:xMode val="factor"/>
              <c:yMode val="factor"/>
              <c:x val="0.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crossBetween val="midCat"/>
        <c:dispUnits/>
      </c:valAx>
      <c:valAx>
        <c:axId val="4205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(Gyr)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49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1305"/>
          <c:w val="0.19125"/>
          <c:h val="0.09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Location of habitable zone at zero age main sequence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scatterChart>
        <c:scatterStyle val="smoothMarker"/>
        <c:varyColors val="0"/>
        <c:ser>
          <c:idx val="0"/>
          <c:order val="0"/>
          <c:tx>
            <c:v>Inner radius of HZ (AU)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Sheet1!$A$8:$A$27</c:f>
              <c:numCache/>
            </c:numRef>
          </c:xVal>
          <c:yVal>
            <c:numRef>
              <c:f>Sheet1!$E$8:$E$27</c:f>
              <c:numCache/>
            </c:numRef>
          </c:yVal>
          <c:smooth val="1"/>
        </c:ser>
        <c:ser>
          <c:idx val="1"/>
          <c:order val="1"/>
          <c:tx>
            <c:v>Outer radius of HZ (AU)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Sheet1!$A$8:$A$27</c:f>
              <c:numCache/>
            </c:numRef>
          </c:xVal>
          <c:yVal>
            <c:numRef>
              <c:f>Sheet1!$F$8:$F$27</c:f>
              <c:numCache/>
            </c:numRef>
          </c:yVal>
          <c:smooth val="1"/>
        </c:ser>
        <c:ser>
          <c:idx val="2"/>
          <c:order val="2"/>
          <c:tx>
            <c:v>Width of HZ (AU)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Sheet1!$A$8:$A$27</c:f>
              <c:numCache/>
            </c:numRef>
          </c:xVal>
          <c:yVal>
            <c:numRef>
              <c:f>Sheet1!$G$8:$G$27</c:f>
              <c:numCache/>
            </c:numRef>
          </c:yVal>
          <c:smooth val="1"/>
        </c:ser>
        <c:axId val="42911162"/>
        <c:axId val="50656139"/>
      </c:scatterChart>
      <c:valAx>
        <c:axId val="4291116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Stellar mass (Solar masses)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crossBetween val="midCat"/>
        <c:dispUnits/>
      </c:valAx>
      <c:valAx>
        <c:axId val="5065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Distance from star (AU)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111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325"/>
          <c:y val="0.12175"/>
          <c:w val="0.3835"/>
          <c:h val="0.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w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14.emf" /><Relationship Id="rId17" Type="http://schemas.openxmlformats.org/officeDocument/2006/relationships/image" Target="../media/image15.emf" /><Relationship Id="rId18" Type="http://schemas.openxmlformats.org/officeDocument/2006/relationships/image" Target="../media/image16.emf" /><Relationship Id="rId19" Type="http://schemas.openxmlformats.org/officeDocument/2006/relationships/image" Target="../media/image17.emf" /><Relationship Id="rId20" Type="http://schemas.openxmlformats.org/officeDocument/2006/relationships/image" Target="../media/image18.emf" /><Relationship Id="rId21" Type="http://schemas.openxmlformats.org/officeDocument/2006/relationships/image" Target="../media/image19.emf" /><Relationship Id="rId22" Type="http://schemas.openxmlformats.org/officeDocument/2006/relationships/image" Target="../media/image20.emf" /><Relationship Id="rId23" Type="http://schemas.openxmlformats.org/officeDocument/2006/relationships/image" Target="../media/image21.emf" /><Relationship Id="rId2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81</xdr:row>
      <xdr:rowOff>9525</xdr:rowOff>
    </xdr:from>
    <xdr:to>
      <xdr:col>24</xdr:col>
      <xdr:colOff>438150</xdr:colOff>
      <xdr:row>107</xdr:row>
      <xdr:rowOff>57150</xdr:rowOff>
    </xdr:to>
    <xdr:graphicFrame>
      <xdr:nvGraphicFramePr>
        <xdr:cNvPr id="1" name="Chart 1"/>
        <xdr:cNvGraphicFramePr/>
      </xdr:nvGraphicFramePr>
      <xdr:xfrm>
        <a:off x="6524625" y="13611225"/>
        <a:ext cx="47529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79</xdr:row>
      <xdr:rowOff>95250</xdr:rowOff>
    </xdr:from>
    <xdr:to>
      <xdr:col>13</xdr:col>
      <xdr:colOff>28575</xdr:colOff>
      <xdr:row>106</xdr:row>
      <xdr:rowOff>0</xdr:rowOff>
    </xdr:to>
    <xdr:graphicFrame>
      <xdr:nvGraphicFramePr>
        <xdr:cNvPr id="2" name="Chart 2"/>
        <xdr:cNvGraphicFramePr/>
      </xdr:nvGraphicFramePr>
      <xdr:xfrm>
        <a:off x="514350" y="13373100"/>
        <a:ext cx="47148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45</xdr:row>
      <xdr:rowOff>0</xdr:rowOff>
    </xdr:from>
    <xdr:to>
      <xdr:col>15</xdr:col>
      <xdr:colOff>9525</xdr:colOff>
      <xdr:row>75</xdr:row>
      <xdr:rowOff>9525</xdr:rowOff>
    </xdr:to>
    <xdr:graphicFrame>
      <xdr:nvGraphicFramePr>
        <xdr:cNvPr id="3" name="Chart 3"/>
        <xdr:cNvGraphicFramePr/>
      </xdr:nvGraphicFramePr>
      <xdr:xfrm>
        <a:off x="419100" y="7772400"/>
        <a:ext cx="5648325" cy="4867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238125</xdr:colOff>
      <xdr:row>44</xdr:row>
      <xdr:rowOff>85725</xdr:rowOff>
    </xdr:from>
    <xdr:to>
      <xdr:col>25</xdr:col>
      <xdr:colOff>552450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6667500" y="7696200"/>
        <a:ext cx="5334000" cy="504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76200</xdr:colOff>
      <xdr:row>28</xdr:row>
      <xdr:rowOff>85725</xdr:rowOff>
    </xdr:from>
    <xdr:to>
      <xdr:col>25</xdr:col>
      <xdr:colOff>514350</xdr:colOff>
      <xdr:row>41</xdr:row>
      <xdr:rowOff>123825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5105400"/>
          <a:ext cx="118872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504825</xdr:colOff>
      <xdr:row>38</xdr:row>
      <xdr:rowOff>19050</xdr:rowOff>
    </xdr:from>
    <xdr:to>
      <xdr:col>25</xdr:col>
      <xdr:colOff>76200</xdr:colOff>
      <xdr:row>39</xdr:row>
      <xdr:rowOff>76200</xdr:rowOff>
    </xdr:to>
    <xdr:sp>
      <xdr:nvSpPr>
        <xdr:cNvPr id="6" name="Oval 29"/>
        <xdr:cNvSpPr>
          <a:spLocks/>
        </xdr:cNvSpPr>
      </xdr:nvSpPr>
      <xdr:spPr>
        <a:xfrm>
          <a:off x="11344275" y="6657975"/>
          <a:ext cx="18097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0" scaled="1"/>
        </a:gra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42</xdr:row>
      <xdr:rowOff>19050</xdr:rowOff>
    </xdr:from>
    <xdr:to>
      <xdr:col>27</xdr:col>
      <xdr:colOff>19050</xdr:colOff>
      <xdr:row>44</xdr:row>
      <xdr:rowOff>133350</xdr:rowOff>
    </xdr:to>
    <xdr:sp>
      <xdr:nvSpPr>
        <xdr:cNvPr id="7" name="AutoShape 30"/>
        <xdr:cNvSpPr>
          <a:spLocks/>
        </xdr:cNvSpPr>
      </xdr:nvSpPr>
      <xdr:spPr>
        <a:xfrm>
          <a:off x="11468100" y="7305675"/>
          <a:ext cx="1219200" cy="438150"/>
        </a:xfrm>
        <a:prstGeom prst="borderCallout1">
          <a:avLst>
            <a:gd name="adj1" fmla="val -66115"/>
            <a:gd name="adj2" fmla="val -57444"/>
            <a:gd name="adj3" fmla="val -53462"/>
            <a:gd name="adj4" fmla="val 1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Mass of star in solar masses</a:t>
          </a:r>
        </a:p>
      </xdr:txBody>
    </xdr:sp>
    <xdr:clientData/>
  </xdr:twoCellAnchor>
  <xdr:twoCellAnchor editAs="oneCell">
    <xdr:from>
      <xdr:col>0</xdr:col>
      <xdr:colOff>238125</xdr:colOff>
      <xdr:row>4</xdr:row>
      <xdr:rowOff>76200</xdr:rowOff>
    </xdr:from>
    <xdr:to>
      <xdr:col>1</xdr:col>
      <xdr:colOff>104775</xdr:colOff>
      <xdr:row>4</xdr:row>
      <xdr:rowOff>238125</xdr:rowOff>
    </xdr:to>
    <xdr:pic>
      <xdr:nvPicPr>
        <xdr:cNvPr id="8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8286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</xdr:row>
      <xdr:rowOff>38100</xdr:rowOff>
    </xdr:from>
    <xdr:to>
      <xdr:col>3</xdr:col>
      <xdr:colOff>19050</xdr:colOff>
      <xdr:row>4</xdr:row>
      <xdr:rowOff>266700</xdr:rowOff>
    </xdr:to>
    <xdr:pic>
      <xdr:nvPicPr>
        <xdr:cNvPr id="9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790575"/>
          <a:ext cx="438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</xdr:row>
      <xdr:rowOff>38100</xdr:rowOff>
    </xdr:from>
    <xdr:to>
      <xdr:col>3</xdr:col>
      <xdr:colOff>447675</xdr:colOff>
      <xdr:row>4</xdr:row>
      <xdr:rowOff>266700</xdr:rowOff>
    </xdr:to>
    <xdr:pic>
      <xdr:nvPicPr>
        <xdr:cNvPr id="10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0" y="790575"/>
          <a:ext cx="361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323850</xdr:colOff>
      <xdr:row>5</xdr:row>
      <xdr:rowOff>38100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57350" y="7524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5</xdr:row>
      <xdr:rowOff>38100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28825" y="7524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57150</xdr:rowOff>
    </xdr:from>
    <xdr:to>
      <xdr:col>7</xdr:col>
      <xdr:colOff>342900</xdr:colOff>
      <xdr:row>4</xdr:row>
      <xdr:rowOff>276225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52725" y="809625"/>
          <a:ext cx="304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266700</xdr:colOff>
      <xdr:row>5</xdr:row>
      <xdr:rowOff>38100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276600" y="7524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266700</xdr:colOff>
      <xdr:row>5</xdr:row>
      <xdr:rowOff>38100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0" y="7524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38100</xdr:rowOff>
    </xdr:from>
    <xdr:to>
      <xdr:col>11</xdr:col>
      <xdr:colOff>381000</xdr:colOff>
      <xdr:row>4</xdr:row>
      <xdr:rowOff>266700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19600" y="790575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152400</xdr:rowOff>
    </xdr:from>
    <xdr:to>
      <xdr:col>12</xdr:col>
      <xdr:colOff>285750</xdr:colOff>
      <xdr:row>5</xdr:row>
      <xdr:rowOff>28575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95850" y="742950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266700</xdr:colOff>
      <xdr:row>5</xdr:row>
      <xdr:rowOff>38100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200650" y="752475"/>
          <a:ext cx="266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4</xdr:row>
      <xdr:rowOff>38100</xdr:rowOff>
    </xdr:from>
    <xdr:to>
      <xdr:col>16</xdr:col>
      <xdr:colOff>266700</xdr:colOff>
      <xdr:row>4</xdr:row>
      <xdr:rowOff>266700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29375" y="7905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</xdr:row>
      <xdr:rowOff>66675</xdr:rowOff>
    </xdr:from>
    <xdr:to>
      <xdr:col>18</xdr:col>
      <xdr:colOff>142875</xdr:colOff>
      <xdr:row>4</xdr:row>
      <xdr:rowOff>228600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48550" y="819150"/>
          <a:ext cx="142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4</xdr:row>
      <xdr:rowOff>47625</xdr:rowOff>
    </xdr:from>
    <xdr:to>
      <xdr:col>19</xdr:col>
      <xdr:colOff>438150</xdr:colOff>
      <xdr:row>4</xdr:row>
      <xdr:rowOff>276225</xdr:rowOff>
    </xdr:to>
    <xdr:pic>
      <xdr:nvPicPr>
        <xdr:cNvPr id="21" name="Picture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115300" y="800100"/>
          <a:ext cx="247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152400</xdr:colOff>
      <xdr:row>4</xdr:row>
      <xdr:rowOff>28575</xdr:rowOff>
    </xdr:from>
    <xdr:to>
      <xdr:col>21</xdr:col>
      <xdr:colOff>323850</xdr:colOff>
      <xdr:row>4</xdr:row>
      <xdr:rowOff>257175</xdr:rowOff>
    </xdr:to>
    <xdr:pic>
      <xdr:nvPicPr>
        <xdr:cNvPr id="22" name="Picture 4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67825" y="781050"/>
          <a:ext cx="171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514350</xdr:colOff>
      <xdr:row>4</xdr:row>
      <xdr:rowOff>28575</xdr:rowOff>
    </xdr:from>
    <xdr:to>
      <xdr:col>23</xdr:col>
      <xdr:colOff>133350</xdr:colOff>
      <xdr:row>4</xdr:row>
      <xdr:rowOff>257175</xdr:rowOff>
    </xdr:to>
    <xdr:pic>
      <xdr:nvPicPr>
        <xdr:cNvPr id="23" name="Picture 4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0096500" y="7810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123825</xdr:colOff>
      <xdr:row>4</xdr:row>
      <xdr:rowOff>47625</xdr:rowOff>
    </xdr:from>
    <xdr:to>
      <xdr:col>24</xdr:col>
      <xdr:colOff>304800</xdr:colOff>
      <xdr:row>4</xdr:row>
      <xdr:rowOff>266700</xdr:rowOff>
    </xdr:to>
    <xdr:pic>
      <xdr:nvPicPr>
        <xdr:cNvPr id="24" name="Picture 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0963275" y="800100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152400</xdr:colOff>
      <xdr:row>4</xdr:row>
      <xdr:rowOff>38100</xdr:rowOff>
    </xdr:from>
    <xdr:to>
      <xdr:col>20</xdr:col>
      <xdr:colOff>400050</xdr:colOff>
      <xdr:row>4</xdr:row>
      <xdr:rowOff>257175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658225" y="79057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238125</xdr:colOff>
      <xdr:row>27</xdr:row>
      <xdr:rowOff>133350</xdr:rowOff>
    </xdr:from>
    <xdr:to>
      <xdr:col>31</xdr:col>
      <xdr:colOff>285750</xdr:colOff>
      <xdr:row>44</xdr:row>
      <xdr:rowOff>19050</xdr:rowOff>
    </xdr:to>
    <xdr:pic>
      <xdr:nvPicPr>
        <xdr:cNvPr id="26" name="Picture 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906375" y="4991100"/>
          <a:ext cx="24860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7"/>
  <sheetViews>
    <sheetView tabSelected="1" zoomScalePageLayoutView="0" workbookViewId="0" topLeftCell="A1">
      <selection activeCell="AA49" sqref="AA49"/>
    </sheetView>
  </sheetViews>
  <sheetFormatPr defaultColWidth="9.140625" defaultRowHeight="12.75"/>
  <cols>
    <col min="1" max="1" width="4.8515625" style="4" customWidth="1"/>
    <col min="2" max="2" width="6.00390625" style="4" customWidth="1"/>
    <col min="3" max="3" width="6.421875" style="4" customWidth="1"/>
    <col min="4" max="4" width="7.57421875" style="12" customWidth="1"/>
    <col min="5" max="5" width="5.57421875" style="12" customWidth="1"/>
    <col min="6" max="6" width="4.57421875" style="12" customWidth="1"/>
    <col min="7" max="7" width="5.7109375" style="12" customWidth="1"/>
    <col min="8" max="8" width="8.421875" style="12" customWidth="1"/>
    <col min="9" max="10" width="5.140625" style="12" customWidth="1"/>
    <col min="11" max="11" width="5.7109375" style="12" customWidth="1"/>
    <col min="12" max="12" width="8.00390625" style="12" customWidth="1"/>
    <col min="13" max="13" width="4.8515625" style="12" customWidth="1"/>
    <col min="14" max="14" width="6.00390625" style="12" customWidth="1"/>
    <col min="15" max="15" width="6.8515625" style="12" customWidth="1"/>
    <col min="16" max="16" width="5.57421875" style="12" customWidth="1"/>
    <col min="17" max="17" width="7.7109375" style="19" customWidth="1"/>
    <col min="18" max="18" width="7.57421875" style="12" customWidth="1"/>
    <col min="19" max="19" width="7.140625" style="12" customWidth="1"/>
    <col min="20" max="20" width="8.7109375" style="12" customWidth="1"/>
    <col min="21" max="21" width="9.140625" style="12" customWidth="1"/>
    <col min="22" max="22" width="7.00390625" style="4" customWidth="1"/>
    <col min="23" max="23" width="9.140625" style="19" customWidth="1"/>
    <col min="24" max="24" width="9.7109375" style="27" customWidth="1"/>
    <col min="25" max="25" width="9.140625" style="12" customWidth="1"/>
    <col min="26" max="16384" width="9.140625" style="4" customWidth="1"/>
  </cols>
  <sheetData>
    <row r="2" ht="21">
      <c r="B2" s="34" t="s">
        <v>26</v>
      </c>
    </row>
    <row r="4" ht="12.75"/>
    <row r="5" spans="1:25" ht="23.25" customHeight="1">
      <c r="A5" s="36"/>
      <c r="B5" s="37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8"/>
      <c r="Q5" s="38"/>
      <c r="R5" s="39"/>
      <c r="S5" s="39"/>
      <c r="T5" s="32"/>
      <c r="U5" s="32"/>
      <c r="V5" s="31"/>
      <c r="W5" s="40"/>
      <c r="X5" s="40"/>
      <c r="Y5" s="33"/>
    </row>
    <row r="6" spans="1:25" s="11" customFormat="1" ht="28.5" customHeight="1">
      <c r="A6" s="41" t="s">
        <v>11</v>
      </c>
      <c r="B6" s="42"/>
      <c r="C6" s="28"/>
      <c r="D6" s="29"/>
      <c r="E6" s="35" t="s">
        <v>0</v>
      </c>
      <c r="F6" s="35"/>
      <c r="G6" s="35"/>
      <c r="H6" s="29"/>
      <c r="I6" s="35" t="s">
        <v>8</v>
      </c>
      <c r="J6" s="35"/>
      <c r="K6" s="35"/>
      <c r="L6" s="29"/>
      <c r="M6" s="35" t="s">
        <v>10</v>
      </c>
      <c r="N6" s="35"/>
      <c r="O6" s="35"/>
      <c r="P6" s="43" t="s">
        <v>14</v>
      </c>
      <c r="Q6" s="43"/>
      <c r="R6" s="35" t="s">
        <v>21</v>
      </c>
      <c r="S6" s="35"/>
      <c r="T6" s="29"/>
      <c r="U6" s="29"/>
      <c r="V6" s="28"/>
      <c r="W6" s="44" t="s">
        <v>22</v>
      </c>
      <c r="X6" s="44"/>
      <c r="Y6" s="30"/>
    </row>
    <row r="7" spans="1:25" s="1" customFormat="1" ht="76.5" customHeight="1">
      <c r="A7" s="9" t="s">
        <v>12</v>
      </c>
      <c r="B7" s="10" t="s">
        <v>13</v>
      </c>
      <c r="C7" s="10" t="s">
        <v>3</v>
      </c>
      <c r="D7" s="13" t="s">
        <v>2</v>
      </c>
      <c r="E7" s="13" t="s">
        <v>23</v>
      </c>
      <c r="F7" s="13" t="s">
        <v>24</v>
      </c>
      <c r="G7" s="13" t="s">
        <v>6</v>
      </c>
      <c r="H7" s="13" t="s">
        <v>7</v>
      </c>
      <c r="I7" s="13" t="s">
        <v>23</v>
      </c>
      <c r="J7" s="13" t="s">
        <v>24</v>
      </c>
      <c r="K7" s="13" t="s">
        <v>6</v>
      </c>
      <c r="L7" s="13" t="s">
        <v>9</v>
      </c>
      <c r="M7" s="13" t="s">
        <v>23</v>
      </c>
      <c r="N7" s="13" t="s">
        <v>24</v>
      </c>
      <c r="O7" s="13" t="s">
        <v>6</v>
      </c>
      <c r="P7" s="13" t="s">
        <v>15</v>
      </c>
      <c r="Q7" s="20" t="s">
        <v>16</v>
      </c>
      <c r="R7" s="13" t="s">
        <v>4</v>
      </c>
      <c r="S7" s="13" t="s">
        <v>5</v>
      </c>
      <c r="T7" s="13" t="s">
        <v>1</v>
      </c>
      <c r="U7" s="13" t="s">
        <v>25</v>
      </c>
      <c r="V7" s="10" t="s">
        <v>20</v>
      </c>
      <c r="W7" s="16" t="s">
        <v>17</v>
      </c>
      <c r="X7" s="24" t="s">
        <v>18</v>
      </c>
      <c r="Y7" s="21" t="s">
        <v>19</v>
      </c>
    </row>
    <row r="8" spans="1:25" ht="9.75">
      <c r="A8" s="2">
        <v>0.1</v>
      </c>
      <c r="B8" s="3">
        <f>A8*2*10^33</f>
        <v>2E+32</v>
      </c>
      <c r="C8" s="3">
        <v>3E-06</v>
      </c>
      <c r="D8" s="14">
        <f>0.71*(A8^(3.75*A8+2.125))</f>
        <v>0.002245217138719551</v>
      </c>
      <c r="E8" s="14">
        <f>(D8/1.1)^(1/2)</f>
        <v>0.0451786065493951</v>
      </c>
      <c r="F8" s="14">
        <f>(D8/0.53)^(1/2)</f>
        <v>0.06508654816704477</v>
      </c>
      <c r="G8" s="14">
        <f>F8-E8</f>
        <v>0.019907941617649673</v>
      </c>
      <c r="H8" s="14">
        <f>1.1*(F8^2)</f>
        <v>0.004659884627531144</v>
      </c>
      <c r="I8" s="14">
        <f>F8</f>
        <v>0.06508654816704477</v>
      </c>
      <c r="J8" s="14">
        <f>((1.1*(F8^2))/0.53)^(0.5)</f>
        <v>0.09376691925346155</v>
      </c>
      <c r="K8" s="14">
        <f>J8-I8</f>
        <v>0.028680371086416773</v>
      </c>
      <c r="L8" s="14">
        <f>D8*EXP(0.045*((10)^1.33))</f>
        <v>0.005876052411301659</v>
      </c>
      <c r="M8" s="14">
        <f>(L8/1.1)^0.5</f>
        <v>0.07308806898842009</v>
      </c>
      <c r="N8" s="14">
        <f>(L8/0.53)^0.5</f>
        <v>0.10529430821311568</v>
      </c>
      <c r="O8" s="14">
        <f>N8-M8</f>
        <v>0.03220623922469559</v>
      </c>
      <c r="P8" s="14">
        <f>F8</f>
        <v>0.06508654816704477</v>
      </c>
      <c r="Q8" s="17">
        <f>P8*(1.5*10^13)</f>
        <v>976298222505.6716</v>
      </c>
      <c r="R8" s="14">
        <f aca="true" t="shared" si="0" ref="R8:R27">((F8^3)/(A8+C8))^0.5</f>
        <v>0.0525085886188222</v>
      </c>
      <c r="S8" s="14">
        <f>R8*365.25</f>
        <v>19.178761993024807</v>
      </c>
      <c r="T8" s="14">
        <f aca="true" t="shared" si="1" ref="T8:T15">10*(A8^(1-(3.75*A8+2.125)))</f>
        <v>316.2277660168379</v>
      </c>
      <c r="U8" s="14">
        <f>T8*0.8</f>
        <v>252.98221281347034</v>
      </c>
      <c r="V8" s="7">
        <v>48600</v>
      </c>
      <c r="W8" s="17">
        <f aca="true" t="shared" si="2" ref="W8:W27">(100*((Q8/(0.027*(B8^(1/3))))^6))/V8</f>
        <v>114978369629729.14</v>
      </c>
      <c r="X8" s="25">
        <f>W8/((3.15*10^7)*1*10^9)</f>
        <v>0.003650106972372354</v>
      </c>
      <c r="Y8" s="22">
        <f aca="true" t="shared" si="3" ref="Y8:Y27">MIN(U8,X8)</f>
        <v>0.003650106972372354</v>
      </c>
    </row>
    <row r="9" spans="1:25" ht="9.75">
      <c r="A9" s="2">
        <v>0.2</v>
      </c>
      <c r="B9" s="3">
        <f aca="true" t="shared" si="4" ref="B9:B27">A9*2*10^33</f>
        <v>4E+32</v>
      </c>
      <c r="C9" s="3">
        <v>3E-06</v>
      </c>
      <c r="D9" s="14">
        <f aca="true" t="shared" si="5" ref="D9:D14">0.71*(A9^(3.75*A9+2.125))</f>
        <v>0.006945757015565077</v>
      </c>
      <c r="E9" s="14">
        <f aca="true" t="shared" si="6" ref="E9:E27">(D9/1.1)^(1/2)</f>
        <v>0.07946272434043912</v>
      </c>
      <c r="F9" s="14">
        <f aca="true" t="shared" si="7" ref="F9:F15">(D9/0.53)^(1/2)</f>
        <v>0.11447795384335152</v>
      </c>
      <c r="G9" s="14">
        <f aca="true" t="shared" si="8" ref="G9:G27">F9-E9</f>
        <v>0.0350152295029124</v>
      </c>
      <c r="H9" s="14">
        <f aca="true" t="shared" si="9" ref="H9:H27">1.1*(F9^2)</f>
        <v>0.014415722107776575</v>
      </c>
      <c r="I9" s="14">
        <f aca="true" t="shared" si="10" ref="I9:I15">F9</f>
        <v>0.11447795384335152</v>
      </c>
      <c r="J9" s="14">
        <f aca="true" t="shared" si="11" ref="J9:J15">((1.1*(F9^2))/0.53)^(0.5)</f>
        <v>0.16492263542355287</v>
      </c>
      <c r="K9" s="14">
        <f aca="true" t="shared" si="12" ref="K9:K27">J9-I9</f>
        <v>0.05044468158020135</v>
      </c>
      <c r="L9" s="14">
        <f aca="true" t="shared" si="13" ref="L9:L15">D9*EXP(0.045*((10)^1.33))</f>
        <v>0.018178033454217545</v>
      </c>
      <c r="M9" s="14">
        <f aca="true" t="shared" si="14" ref="M9:M27">(L9/1.1)^0.5</f>
        <v>0.12855148757746673</v>
      </c>
      <c r="N9" s="14">
        <f aca="true" t="shared" si="15" ref="N9:N15">(L9/0.53)^0.5</f>
        <v>0.18519766825938266</v>
      </c>
      <c r="O9" s="14">
        <f aca="true" t="shared" si="16" ref="O9:O27">N9-M9</f>
        <v>0.05664618068191593</v>
      </c>
      <c r="P9" s="14">
        <f aca="true" t="shared" si="17" ref="P9:P15">F9</f>
        <v>0.11447795384335152</v>
      </c>
      <c r="Q9" s="17">
        <f aca="true" t="shared" si="18" ref="Q9:Q27">P9*(1.5*10^13)</f>
        <v>1717169307650.2727</v>
      </c>
      <c r="R9" s="14">
        <f t="shared" si="0"/>
        <v>0.08660930078672491</v>
      </c>
      <c r="S9" s="14">
        <f aca="true" t="shared" si="19" ref="S9:S27">R9*365.25</f>
        <v>31.634047112351272</v>
      </c>
      <c r="T9" s="14">
        <f t="shared" si="1"/>
        <v>204.4413584894856</v>
      </c>
      <c r="U9" s="14">
        <f aca="true" t="shared" si="20" ref="U9:U27">T9*0.8</f>
        <v>163.5530867915885</v>
      </c>
      <c r="V9" s="7">
        <v>48600</v>
      </c>
      <c r="W9" s="17">
        <f t="shared" si="2"/>
        <v>851020197459889.1</v>
      </c>
      <c r="X9" s="25">
        <f aca="true" t="shared" si="21" ref="X9:X27">W9/((3.15*10^7)*1*10^9)</f>
        <v>0.027016514205075844</v>
      </c>
      <c r="Y9" s="22">
        <f t="shared" si="3"/>
        <v>0.027016514205075844</v>
      </c>
    </row>
    <row r="10" spans="1:25" ht="9.75">
      <c r="A10" s="2">
        <v>0.3</v>
      </c>
      <c r="B10" s="3">
        <f t="shared" si="4"/>
        <v>5.999999999999999E+32</v>
      </c>
      <c r="C10" s="3">
        <v>3E-06</v>
      </c>
      <c r="D10" s="14">
        <f t="shared" si="5"/>
        <v>0.0141873873621171</v>
      </c>
      <c r="E10" s="14">
        <f t="shared" si="6"/>
        <v>0.11356771052835356</v>
      </c>
      <c r="F10" s="14">
        <f t="shared" si="7"/>
        <v>0.16361129362064508</v>
      </c>
      <c r="G10" s="14">
        <f t="shared" si="8"/>
        <v>0.050043583092291524</v>
      </c>
      <c r="H10" s="14">
        <f t="shared" si="9"/>
        <v>0.029445520940243036</v>
      </c>
      <c r="I10" s="14">
        <f t="shared" si="10"/>
        <v>0.16361129362064508</v>
      </c>
      <c r="J10" s="14">
        <f t="shared" si="11"/>
        <v>0.23570656902111117</v>
      </c>
      <c r="K10" s="14">
        <f t="shared" si="12"/>
        <v>0.07209527540046609</v>
      </c>
      <c r="L10" s="14">
        <f t="shared" si="13"/>
        <v>0.03713040947424019</v>
      </c>
      <c r="M10" s="14">
        <f t="shared" si="14"/>
        <v>0.18372511451582965</v>
      </c>
      <c r="N10" s="14">
        <f t="shared" si="15"/>
        <v>0.2646835400369485</v>
      </c>
      <c r="O10" s="14">
        <f t="shared" si="16"/>
        <v>0.08095842552111884</v>
      </c>
      <c r="P10" s="14">
        <f t="shared" si="17"/>
        <v>0.16361129362064508</v>
      </c>
      <c r="Q10" s="17">
        <f t="shared" si="18"/>
        <v>2454169404309.6763</v>
      </c>
      <c r="R10" s="14">
        <f t="shared" si="0"/>
        <v>0.12082508765994462</v>
      </c>
      <c r="S10" s="14">
        <f t="shared" si="19"/>
        <v>44.131363267794775</v>
      </c>
      <c r="T10" s="14">
        <f t="shared" si="1"/>
        <v>150.13335053411498</v>
      </c>
      <c r="U10" s="14">
        <f t="shared" si="20"/>
        <v>120.10668042729199</v>
      </c>
      <c r="V10" s="7">
        <v>48600</v>
      </c>
      <c r="W10" s="17">
        <f t="shared" si="2"/>
        <v>3223338164010534.5</v>
      </c>
      <c r="X10" s="25">
        <f t="shared" si="21"/>
        <v>0.10232819568287412</v>
      </c>
      <c r="Y10" s="22">
        <f t="shared" si="3"/>
        <v>0.10232819568287412</v>
      </c>
    </row>
    <row r="11" spans="1:25" ht="9.75">
      <c r="A11" s="2">
        <v>0.4</v>
      </c>
      <c r="B11" s="3">
        <f t="shared" si="4"/>
        <v>8E+32</v>
      </c>
      <c r="C11" s="3">
        <v>3E-06</v>
      </c>
      <c r="D11" s="14">
        <f t="shared" si="5"/>
        <v>0.025628655142441965</v>
      </c>
      <c r="E11" s="14">
        <f t="shared" si="6"/>
        <v>0.15263937042001963</v>
      </c>
      <c r="F11" s="14">
        <f t="shared" si="7"/>
        <v>0.21989987062057836</v>
      </c>
      <c r="G11" s="14">
        <f t="shared" si="8"/>
        <v>0.06726050020055874</v>
      </c>
      <c r="H11" s="14">
        <f t="shared" si="9"/>
        <v>0.05319154840884181</v>
      </c>
      <c r="I11" s="14">
        <f t="shared" si="10"/>
        <v>0.21989987062057836</v>
      </c>
      <c r="J11" s="14">
        <f t="shared" si="11"/>
        <v>0.31679869332456906</v>
      </c>
      <c r="K11" s="14">
        <f t="shared" si="12"/>
        <v>0.0968988227039907</v>
      </c>
      <c r="L11" s="14">
        <f t="shared" si="13"/>
        <v>0.0670738336400057</v>
      </c>
      <c r="M11" s="14">
        <f t="shared" si="14"/>
        <v>0.24693361942029113</v>
      </c>
      <c r="N11" s="14">
        <f t="shared" si="15"/>
        <v>0.3557448567363278</v>
      </c>
      <c r="O11" s="14">
        <f t="shared" si="16"/>
        <v>0.10881123731603665</v>
      </c>
      <c r="P11" s="14">
        <f t="shared" si="17"/>
        <v>0.21989987062057836</v>
      </c>
      <c r="Q11" s="17">
        <f t="shared" si="18"/>
        <v>3298498059308.6753</v>
      </c>
      <c r="R11" s="14">
        <f t="shared" si="0"/>
        <v>0.16304438107293534</v>
      </c>
      <c r="S11" s="14">
        <f t="shared" si="19"/>
        <v>59.55196018688963</v>
      </c>
      <c r="T11" s="14">
        <f t="shared" si="1"/>
        <v>110.81346189316264</v>
      </c>
      <c r="U11" s="14">
        <f t="shared" si="20"/>
        <v>88.65076951453011</v>
      </c>
      <c r="V11" s="7">
        <v>48600</v>
      </c>
      <c r="W11" s="17">
        <f t="shared" si="2"/>
        <v>10688052273035584</v>
      </c>
      <c r="X11" s="25">
        <f t="shared" si="21"/>
        <v>0.3393032467630344</v>
      </c>
      <c r="Y11" s="22">
        <f t="shared" si="3"/>
        <v>0.3393032467630344</v>
      </c>
    </row>
    <row r="12" spans="1:25" ht="9.75">
      <c r="A12" s="2">
        <v>0.5</v>
      </c>
      <c r="B12" s="3">
        <f t="shared" si="4"/>
        <v>1E+33</v>
      </c>
      <c r="C12" s="3">
        <v>3E-06</v>
      </c>
      <c r="D12" s="14">
        <f t="shared" si="5"/>
        <v>0.044375</v>
      </c>
      <c r="E12" s="14">
        <f t="shared" si="6"/>
        <v>0.20085046450259728</v>
      </c>
      <c r="F12" s="14">
        <f t="shared" si="7"/>
        <v>0.28935517118990567</v>
      </c>
      <c r="G12" s="14">
        <f t="shared" si="8"/>
        <v>0.0885047066873084</v>
      </c>
      <c r="H12" s="14">
        <f t="shared" si="9"/>
        <v>0.09209905660377359</v>
      </c>
      <c r="I12" s="14">
        <f t="shared" si="10"/>
        <v>0.28935517118990567</v>
      </c>
      <c r="J12" s="14">
        <f t="shared" si="11"/>
        <v>0.4168594546280321</v>
      </c>
      <c r="K12" s="14">
        <f t="shared" si="12"/>
        <v>0.12750428343812642</v>
      </c>
      <c r="L12" s="14">
        <f t="shared" si="13"/>
        <v>0.116135682938986</v>
      </c>
      <c r="M12" s="14">
        <f t="shared" si="14"/>
        <v>0.3249275205040293</v>
      </c>
      <c r="N12" s="14">
        <f t="shared" si="15"/>
        <v>0.4681067507241895</v>
      </c>
      <c r="O12" s="14">
        <f t="shared" si="16"/>
        <v>0.14317923022016021</v>
      </c>
      <c r="P12" s="14">
        <f t="shared" si="17"/>
        <v>0.28935517118990567</v>
      </c>
      <c r="Q12" s="17">
        <f t="shared" si="18"/>
        <v>4340327567848.585</v>
      </c>
      <c r="R12" s="14">
        <f t="shared" si="0"/>
        <v>0.22012053885807595</v>
      </c>
      <c r="S12" s="14">
        <f t="shared" si="19"/>
        <v>80.39902681791224</v>
      </c>
      <c r="T12" s="14">
        <f t="shared" si="1"/>
        <v>80</v>
      </c>
      <c r="U12" s="14">
        <f t="shared" si="20"/>
        <v>64</v>
      </c>
      <c r="V12" s="7">
        <v>48600</v>
      </c>
      <c r="W12" s="17">
        <f t="shared" si="2"/>
        <v>35507180633073180</v>
      </c>
      <c r="X12" s="25">
        <f t="shared" si="21"/>
        <v>1.1272120835896247</v>
      </c>
      <c r="Y12" s="22">
        <f t="shared" si="3"/>
        <v>1.1272120835896247</v>
      </c>
    </row>
    <row r="13" spans="1:25" ht="9.75">
      <c r="A13" s="2">
        <v>0.6</v>
      </c>
      <c r="B13" s="3">
        <f t="shared" si="4"/>
        <v>1.1999999999999998E+33</v>
      </c>
      <c r="C13" s="3">
        <v>3E-06</v>
      </c>
      <c r="D13" s="14">
        <f t="shared" si="5"/>
        <v>0.0759748881083794</v>
      </c>
      <c r="E13" s="14">
        <f t="shared" si="6"/>
        <v>0.2628080670347216</v>
      </c>
      <c r="F13" s="14">
        <f t="shared" si="7"/>
        <v>0.37861437570106643</v>
      </c>
      <c r="G13" s="14">
        <f t="shared" si="8"/>
        <v>0.11580630866634484</v>
      </c>
      <c r="H13" s="14">
        <f t="shared" si="9"/>
        <v>0.15768373003625913</v>
      </c>
      <c r="I13" s="14">
        <f t="shared" si="10"/>
        <v>0.37861437570106643</v>
      </c>
      <c r="J13" s="14">
        <f t="shared" si="11"/>
        <v>0.5454507051664033</v>
      </c>
      <c r="K13" s="14">
        <f t="shared" si="12"/>
        <v>0.16683632946533683</v>
      </c>
      <c r="L13" s="14">
        <f t="shared" si="13"/>
        <v>0.19883708206602113</v>
      </c>
      <c r="M13" s="14">
        <f t="shared" si="14"/>
        <v>0.4251599507201764</v>
      </c>
      <c r="N13" s="14">
        <f t="shared" si="15"/>
        <v>0.6125065761156736</v>
      </c>
      <c r="O13" s="14">
        <f t="shared" si="16"/>
        <v>0.18734662539549718</v>
      </c>
      <c r="P13" s="14">
        <f t="shared" si="17"/>
        <v>0.37861437570106643</v>
      </c>
      <c r="Q13" s="17">
        <f t="shared" si="18"/>
        <v>5679215635515.996</v>
      </c>
      <c r="R13" s="14">
        <f t="shared" si="0"/>
        <v>0.30075921230947694</v>
      </c>
      <c r="S13" s="14">
        <f t="shared" si="19"/>
        <v>109.85230229603646</v>
      </c>
      <c r="T13" s="14">
        <f t="shared" si="1"/>
        <v>56.071158590231036</v>
      </c>
      <c r="U13" s="14">
        <f t="shared" si="20"/>
        <v>44.85692687218483</v>
      </c>
      <c r="V13" s="7">
        <v>48600</v>
      </c>
      <c r="W13" s="17">
        <f t="shared" si="2"/>
        <v>1.237510255372641E+17</v>
      </c>
      <c r="X13" s="25">
        <f t="shared" si="21"/>
        <v>3.9286039853099712</v>
      </c>
      <c r="Y13" s="22">
        <f t="shared" si="3"/>
        <v>3.9286039853099712</v>
      </c>
    </row>
    <row r="14" spans="1:25" ht="9.75">
      <c r="A14" s="2">
        <v>0.7</v>
      </c>
      <c r="B14" s="3">
        <f t="shared" si="4"/>
        <v>1.3999999999999998E+33</v>
      </c>
      <c r="C14" s="3">
        <v>3E-06</v>
      </c>
      <c r="D14" s="14">
        <f t="shared" si="5"/>
        <v>0.1304589980656245</v>
      </c>
      <c r="E14" s="14">
        <f t="shared" si="6"/>
        <v>0.34438218471716525</v>
      </c>
      <c r="F14" s="14">
        <f t="shared" si="7"/>
        <v>0.49613410783175194</v>
      </c>
      <c r="G14" s="14">
        <f t="shared" si="8"/>
        <v>0.15175192311458668</v>
      </c>
      <c r="H14" s="14">
        <f t="shared" si="9"/>
        <v>0.27076395824940935</v>
      </c>
      <c r="I14" s="14">
        <f t="shared" si="10"/>
        <v>0.49613410783175194</v>
      </c>
      <c r="J14" s="14">
        <f t="shared" si="11"/>
        <v>0.7147554777148712</v>
      </c>
      <c r="K14" s="14">
        <f t="shared" si="12"/>
        <v>0.2186213698831193</v>
      </c>
      <c r="L14" s="14">
        <f t="shared" si="13"/>
        <v>0.3414297427805556</v>
      </c>
      <c r="M14" s="14">
        <f t="shared" si="14"/>
        <v>0.5571271625536225</v>
      </c>
      <c r="N14" s="14">
        <f t="shared" si="15"/>
        <v>0.8026251066656866</v>
      </c>
      <c r="O14" s="14">
        <f t="shared" si="16"/>
        <v>0.24549794411206416</v>
      </c>
      <c r="P14" s="14">
        <f t="shared" si="17"/>
        <v>0.49613410783175194</v>
      </c>
      <c r="Q14" s="17">
        <f t="shared" si="18"/>
        <v>7442011617476.279</v>
      </c>
      <c r="R14" s="14">
        <f t="shared" si="0"/>
        <v>0.41768480494811056</v>
      </c>
      <c r="S14" s="14">
        <f t="shared" si="19"/>
        <v>152.55937500729738</v>
      </c>
      <c r="T14" s="14">
        <f t="shared" si="1"/>
        <v>38.09626069257371</v>
      </c>
      <c r="U14" s="14">
        <f t="shared" si="20"/>
        <v>30.47700855405897</v>
      </c>
      <c r="V14" s="7">
        <v>48600</v>
      </c>
      <c r="W14" s="17">
        <f t="shared" si="2"/>
        <v>4.603277288046274E+17</v>
      </c>
      <c r="X14" s="25">
        <f t="shared" si="21"/>
        <v>14.613578692210393</v>
      </c>
      <c r="Y14" s="22">
        <f t="shared" si="3"/>
        <v>14.613578692210393</v>
      </c>
    </row>
    <row r="15" spans="1:25" ht="9.75">
      <c r="A15" s="2">
        <v>0.8</v>
      </c>
      <c r="B15" s="3">
        <f t="shared" si="4"/>
        <v>1.6E+33</v>
      </c>
      <c r="C15" s="3">
        <v>3E-06</v>
      </c>
      <c r="D15" s="14">
        <f>0.71*(A15^(4.75))</f>
        <v>0.24600038507898492</v>
      </c>
      <c r="E15" s="14">
        <f t="shared" si="6"/>
        <v>0.4729024357181596</v>
      </c>
      <c r="F15" s="14">
        <f t="shared" si="7"/>
        <v>0.681286775125093</v>
      </c>
      <c r="G15" s="14">
        <f t="shared" si="8"/>
        <v>0.20838433940693335</v>
      </c>
      <c r="H15" s="14">
        <f t="shared" si="9"/>
        <v>0.5105668369563839</v>
      </c>
      <c r="I15" s="14">
        <f t="shared" si="10"/>
        <v>0.681286775125093</v>
      </c>
      <c r="J15" s="14">
        <f t="shared" si="11"/>
        <v>0.9814956213018409</v>
      </c>
      <c r="K15" s="14">
        <f t="shared" si="12"/>
        <v>0.3002088461767479</v>
      </c>
      <c r="L15" s="14">
        <f t="shared" si="13"/>
        <v>0.6438179768879202</v>
      </c>
      <c r="M15" s="14">
        <f t="shared" si="14"/>
        <v>0.7650418746043313</v>
      </c>
      <c r="N15" s="14">
        <f t="shared" si="15"/>
        <v>1.1021573843097585</v>
      </c>
      <c r="O15" s="14">
        <f t="shared" si="16"/>
        <v>0.33711550970542725</v>
      </c>
      <c r="P15" s="14">
        <f t="shared" si="17"/>
        <v>0.681286775125093</v>
      </c>
      <c r="Q15" s="17">
        <f t="shared" si="18"/>
        <v>10219301626876.395</v>
      </c>
      <c r="R15" s="14">
        <f t="shared" si="0"/>
        <v>0.6287082079293427</v>
      </c>
      <c r="S15" s="14">
        <f t="shared" si="19"/>
        <v>229.63567294619241</v>
      </c>
      <c r="T15" s="14">
        <f t="shared" si="1"/>
        <v>25.104628767038317</v>
      </c>
      <c r="U15" s="14">
        <f t="shared" si="20"/>
        <v>20.083703013630654</v>
      </c>
      <c r="V15" s="7">
        <v>48600</v>
      </c>
      <c r="W15" s="17">
        <f t="shared" si="2"/>
        <v>2.3630259274388634E+18</v>
      </c>
      <c r="X15" s="25">
        <f t="shared" si="21"/>
        <v>75.01669610917027</v>
      </c>
      <c r="Y15" s="22">
        <f t="shared" si="3"/>
        <v>20.083703013630654</v>
      </c>
    </row>
    <row r="16" spans="1:25" ht="9.75">
      <c r="A16" s="2">
        <v>0.9</v>
      </c>
      <c r="B16" s="3">
        <f t="shared" si="4"/>
        <v>1.7999999999999998E+33</v>
      </c>
      <c r="C16" s="3">
        <v>3E-06</v>
      </c>
      <c r="D16" s="14">
        <f aca="true" t="shared" si="22" ref="D16:D27">0.71*(A16^(4.75))</f>
        <v>0.4304376667324812</v>
      </c>
      <c r="E16" s="14">
        <f t="shared" si="6"/>
        <v>0.6255453378907089</v>
      </c>
      <c r="F16" s="14">
        <f aca="true" t="shared" si="23" ref="F16:F27">(D16/0.53)^(1/2)</f>
        <v>0.901191733764065</v>
      </c>
      <c r="G16" s="14">
        <f t="shared" si="8"/>
        <v>0.27564639587335615</v>
      </c>
      <c r="H16" s="14">
        <f t="shared" si="9"/>
        <v>0.8933611951051497</v>
      </c>
      <c r="I16" s="14">
        <f aca="true" t="shared" si="24" ref="I16:I27">F16</f>
        <v>0.901191733764065</v>
      </c>
      <c r="J16" s="14">
        <f aca="true" t="shared" si="25" ref="J16:J27">((1.1*(F16^2))/0.53)^(0.5)</f>
        <v>1.2983016446788296</v>
      </c>
      <c r="K16" s="14">
        <f t="shared" si="12"/>
        <v>0.39710991091476455</v>
      </c>
      <c r="L16" s="14">
        <f aca="true" t="shared" si="26" ref="L16:L27">D16*EXP(0.045*((10)^1.33))</f>
        <v>1.1265165608707686</v>
      </c>
      <c r="M16" s="14">
        <f t="shared" si="14"/>
        <v>1.0119812075468453</v>
      </c>
      <c r="N16" s="14">
        <f aca="true" t="shared" si="27" ref="N16:N27">(L16/0.53)^0.5</f>
        <v>1.4579104722304406</v>
      </c>
      <c r="O16" s="14">
        <f t="shared" si="16"/>
        <v>0.4459292646835953</v>
      </c>
      <c r="P16" s="14">
        <f aca="true" t="shared" si="28" ref="P16:P27">F16</f>
        <v>0.901191733764065</v>
      </c>
      <c r="Q16" s="17">
        <f t="shared" si="18"/>
        <v>13517876006460.975</v>
      </c>
      <c r="R16" s="14">
        <f t="shared" si="0"/>
        <v>0.9017866893012376</v>
      </c>
      <c r="S16" s="14">
        <f t="shared" si="19"/>
        <v>329.377588267277</v>
      </c>
      <c r="T16" s="14">
        <f aca="true" t="shared" si="29" ref="T16:T27">10*(A16^(1-4.75))</f>
        <v>14.845355074307218</v>
      </c>
      <c r="U16" s="14">
        <f t="shared" si="20"/>
        <v>11.876284059445775</v>
      </c>
      <c r="V16" s="7">
        <v>48600</v>
      </c>
      <c r="W16" s="17">
        <f t="shared" si="2"/>
        <v>1.0002000842105055E+19</v>
      </c>
      <c r="X16" s="25">
        <f t="shared" si="21"/>
        <v>317.52383625730334</v>
      </c>
      <c r="Y16" s="22">
        <f t="shared" si="3"/>
        <v>11.876284059445775</v>
      </c>
    </row>
    <row r="17" spans="1:25" ht="9.75">
      <c r="A17" s="2">
        <v>1</v>
      </c>
      <c r="B17" s="3">
        <f t="shared" si="4"/>
        <v>2E+33</v>
      </c>
      <c r="C17" s="3">
        <v>3E-06</v>
      </c>
      <c r="D17" s="14">
        <f t="shared" si="22"/>
        <v>0.71</v>
      </c>
      <c r="E17" s="14">
        <f t="shared" si="6"/>
        <v>0.8034018580103891</v>
      </c>
      <c r="F17" s="14">
        <f t="shared" si="23"/>
        <v>1.1574206847596227</v>
      </c>
      <c r="G17" s="14">
        <f t="shared" si="8"/>
        <v>0.3540188267492336</v>
      </c>
      <c r="H17" s="14">
        <f t="shared" si="9"/>
        <v>1.4735849056603774</v>
      </c>
      <c r="I17" s="14">
        <f t="shared" si="24"/>
        <v>1.1574206847596227</v>
      </c>
      <c r="J17" s="14">
        <f t="shared" si="25"/>
        <v>1.6674378185121284</v>
      </c>
      <c r="K17" s="14">
        <f t="shared" si="12"/>
        <v>0.5100171337525057</v>
      </c>
      <c r="L17" s="14">
        <f t="shared" si="26"/>
        <v>1.858170927023776</v>
      </c>
      <c r="M17" s="14">
        <f t="shared" si="14"/>
        <v>1.2997100820161172</v>
      </c>
      <c r="N17" s="14">
        <f t="shared" si="27"/>
        <v>1.872427002896758</v>
      </c>
      <c r="O17" s="14">
        <f t="shared" si="16"/>
        <v>0.5727169208806409</v>
      </c>
      <c r="P17" s="14">
        <f t="shared" si="28"/>
        <v>1.1574206847596227</v>
      </c>
      <c r="Q17" s="17">
        <f t="shared" si="18"/>
        <v>17361310271394.34</v>
      </c>
      <c r="R17" s="14">
        <f t="shared" si="0"/>
        <v>1.2451916734175639</v>
      </c>
      <c r="S17" s="14">
        <f t="shared" si="19"/>
        <v>454.8062587157652</v>
      </c>
      <c r="T17" s="14">
        <f t="shared" si="29"/>
        <v>10</v>
      </c>
      <c r="U17" s="14">
        <f t="shared" si="20"/>
        <v>8</v>
      </c>
      <c r="V17" s="7">
        <v>48600</v>
      </c>
      <c r="W17" s="17">
        <f t="shared" si="2"/>
        <v>3.635935296826682E+19</v>
      </c>
      <c r="X17" s="25">
        <f t="shared" si="21"/>
        <v>1154.265173595772</v>
      </c>
      <c r="Y17" s="22">
        <f t="shared" si="3"/>
        <v>8</v>
      </c>
    </row>
    <row r="18" spans="1:25" ht="9.75">
      <c r="A18" s="2">
        <v>1.1</v>
      </c>
      <c r="B18" s="3">
        <f t="shared" si="4"/>
        <v>2.2E+33</v>
      </c>
      <c r="C18" s="3">
        <v>3E-06</v>
      </c>
      <c r="D18" s="14">
        <f t="shared" si="22"/>
        <v>1.1165382439348628</v>
      </c>
      <c r="E18" s="14">
        <f t="shared" si="6"/>
        <v>1.007489338511089</v>
      </c>
      <c r="F18" s="14">
        <f t="shared" si="23"/>
        <v>1.4514392622333776</v>
      </c>
      <c r="G18" s="14">
        <f t="shared" si="8"/>
        <v>0.4439499237222886</v>
      </c>
      <c r="H18" s="14">
        <f t="shared" si="9"/>
        <v>2.317343525147829</v>
      </c>
      <c r="I18" s="14">
        <f t="shared" si="24"/>
        <v>1.4514392622333776</v>
      </c>
      <c r="J18" s="14">
        <f t="shared" si="25"/>
        <v>2.091015608230562</v>
      </c>
      <c r="K18" s="14">
        <f t="shared" si="12"/>
        <v>0.6395763459971844</v>
      </c>
      <c r="L18" s="14">
        <f t="shared" si="26"/>
        <v>2.922139301112596</v>
      </c>
      <c r="M18" s="14">
        <f t="shared" si="14"/>
        <v>1.6298743122519366</v>
      </c>
      <c r="N18" s="14">
        <f t="shared" si="27"/>
        <v>2.3480780181794914</v>
      </c>
      <c r="O18" s="14">
        <f t="shared" si="16"/>
        <v>0.7182037059275548</v>
      </c>
      <c r="P18" s="14">
        <f t="shared" si="28"/>
        <v>1.4514392622333776</v>
      </c>
      <c r="Q18" s="17">
        <f t="shared" si="18"/>
        <v>21771588933500.664</v>
      </c>
      <c r="R18" s="14">
        <f t="shared" si="0"/>
        <v>1.667252454365296</v>
      </c>
      <c r="S18" s="14">
        <f t="shared" si="19"/>
        <v>608.9639589569243</v>
      </c>
      <c r="T18" s="14">
        <f t="shared" si="29"/>
        <v>6.994834294682364</v>
      </c>
      <c r="U18" s="14">
        <f t="shared" si="20"/>
        <v>5.595867435745891</v>
      </c>
      <c r="V18" s="7">
        <v>48600</v>
      </c>
      <c r="W18" s="17">
        <f t="shared" si="2"/>
        <v>1.1686286771828747E+20</v>
      </c>
      <c r="X18" s="25">
        <f t="shared" si="21"/>
        <v>3709.9323085170627</v>
      </c>
      <c r="Y18" s="22">
        <f t="shared" si="3"/>
        <v>5.595867435745891</v>
      </c>
    </row>
    <row r="19" spans="1:25" ht="9.75">
      <c r="A19" s="2">
        <v>1.2</v>
      </c>
      <c r="B19" s="3">
        <f t="shared" si="4"/>
        <v>2.3999999999999997E+33</v>
      </c>
      <c r="C19" s="3">
        <v>3E-06</v>
      </c>
      <c r="D19" s="14">
        <f t="shared" si="22"/>
        <v>1.6879876601755583</v>
      </c>
      <c r="E19" s="14">
        <f t="shared" si="6"/>
        <v>1.2387631882338266</v>
      </c>
      <c r="F19" s="14">
        <f t="shared" si="23"/>
        <v>1.7846238756919433</v>
      </c>
      <c r="G19" s="14">
        <f t="shared" si="8"/>
        <v>0.5458606874581167</v>
      </c>
      <c r="H19" s="14">
        <f t="shared" si="9"/>
        <v>3.503370615458706</v>
      </c>
      <c r="I19" s="14">
        <f t="shared" si="24"/>
        <v>1.7846238756919433</v>
      </c>
      <c r="J19" s="14">
        <f t="shared" si="25"/>
        <v>2.571017937843791</v>
      </c>
      <c r="K19" s="14">
        <f t="shared" si="12"/>
        <v>0.7863940621518477</v>
      </c>
      <c r="L19" s="14">
        <f t="shared" si="26"/>
        <v>4.41770365537058</v>
      </c>
      <c r="M19" s="14">
        <f t="shared" si="14"/>
        <v>2.00401951890571</v>
      </c>
      <c r="N19" s="14">
        <f t="shared" si="27"/>
        <v>2.8870902160815044</v>
      </c>
      <c r="O19" s="14">
        <f t="shared" si="16"/>
        <v>0.8830706971757945</v>
      </c>
      <c r="P19" s="14">
        <f t="shared" si="28"/>
        <v>1.7846238756919433</v>
      </c>
      <c r="Q19" s="17">
        <f t="shared" si="18"/>
        <v>26769358135379.15</v>
      </c>
      <c r="R19" s="14">
        <f t="shared" si="0"/>
        <v>2.1763507152625</v>
      </c>
      <c r="S19" s="14">
        <f t="shared" si="19"/>
        <v>794.9120987496282</v>
      </c>
      <c r="T19" s="14">
        <f t="shared" si="29"/>
        <v>5.047430263272115</v>
      </c>
      <c r="U19" s="14">
        <f t="shared" si="20"/>
        <v>4.037944210617692</v>
      </c>
      <c r="V19" s="7">
        <v>48600</v>
      </c>
      <c r="W19" s="17">
        <f t="shared" si="2"/>
        <v>3.3930199269254E+20</v>
      </c>
      <c r="X19" s="25">
        <f t="shared" si="21"/>
        <v>10771.491831509205</v>
      </c>
      <c r="Y19" s="22">
        <f t="shared" si="3"/>
        <v>4.037944210617692</v>
      </c>
    </row>
    <row r="20" spans="1:25" ht="9.75">
      <c r="A20" s="2">
        <v>1.3</v>
      </c>
      <c r="B20" s="3">
        <f t="shared" si="4"/>
        <v>2.6E+33</v>
      </c>
      <c r="C20" s="3">
        <v>3E-06</v>
      </c>
      <c r="D20" s="14">
        <f t="shared" si="22"/>
        <v>2.468819120058669</v>
      </c>
      <c r="E20" s="14">
        <f t="shared" si="6"/>
        <v>1.4981258352472109</v>
      </c>
      <c r="F20" s="14">
        <f t="shared" si="23"/>
        <v>2.1582746079054824</v>
      </c>
      <c r="G20" s="14">
        <f t="shared" si="8"/>
        <v>0.6601487726582715</v>
      </c>
      <c r="H20" s="14">
        <f t="shared" si="9"/>
        <v>5.123964211442521</v>
      </c>
      <c r="I20" s="14">
        <f t="shared" si="24"/>
        <v>2.1582746079054824</v>
      </c>
      <c r="J20" s="14">
        <f t="shared" si="25"/>
        <v>3.1093177712677966</v>
      </c>
      <c r="K20" s="14">
        <f t="shared" si="12"/>
        <v>0.9510431633623142</v>
      </c>
      <c r="L20" s="14">
        <f t="shared" si="26"/>
        <v>6.461250581652733</v>
      </c>
      <c r="M20" s="14">
        <f t="shared" si="14"/>
        <v>2.4236056125407135</v>
      </c>
      <c r="N20" s="14">
        <f t="shared" si="27"/>
        <v>3.4915668163887457</v>
      </c>
      <c r="O20" s="14">
        <f t="shared" si="16"/>
        <v>1.0679612038480322</v>
      </c>
      <c r="P20" s="14">
        <f t="shared" si="28"/>
        <v>2.1582746079054824</v>
      </c>
      <c r="Q20" s="17">
        <f t="shared" si="18"/>
        <v>32374119118582.24</v>
      </c>
      <c r="R20" s="14">
        <f t="shared" si="0"/>
        <v>2.7809160246677234</v>
      </c>
      <c r="S20" s="14">
        <f t="shared" si="19"/>
        <v>1015.7295780098859</v>
      </c>
      <c r="T20" s="14">
        <f t="shared" si="29"/>
        <v>3.7386295030721644</v>
      </c>
      <c r="U20" s="14">
        <f t="shared" si="20"/>
        <v>2.9909036024577316</v>
      </c>
      <c r="V20" s="7">
        <v>48600</v>
      </c>
      <c r="W20" s="17">
        <f t="shared" si="2"/>
        <v>9.045284097873162E+20</v>
      </c>
      <c r="X20" s="25">
        <f t="shared" si="21"/>
        <v>28715.18761229575</v>
      </c>
      <c r="Y20" s="22">
        <f t="shared" si="3"/>
        <v>2.9909036024577316</v>
      </c>
    </row>
    <row r="21" spans="1:25" ht="9.75">
      <c r="A21" s="2">
        <v>1.4</v>
      </c>
      <c r="B21" s="3">
        <f t="shared" si="4"/>
        <v>2.7999999999999995E+33</v>
      </c>
      <c r="C21" s="3">
        <v>3E-06</v>
      </c>
      <c r="D21" s="14">
        <f t="shared" si="22"/>
        <v>3.510480121951198</v>
      </c>
      <c r="E21" s="14">
        <f t="shared" si="6"/>
        <v>1.7864337562334014</v>
      </c>
      <c r="F21" s="14">
        <f t="shared" si="23"/>
        <v>2.5736253417908213</v>
      </c>
      <c r="G21" s="14">
        <f t="shared" si="8"/>
        <v>0.7871915855574199</v>
      </c>
      <c r="H21" s="14">
        <f t="shared" si="9"/>
        <v>7.285902139898714</v>
      </c>
      <c r="I21" s="14">
        <f t="shared" si="24"/>
        <v>2.5736253417908213</v>
      </c>
      <c r="J21" s="14">
        <f t="shared" si="25"/>
        <v>3.707692701616494</v>
      </c>
      <c r="K21" s="14">
        <f t="shared" si="12"/>
        <v>1.1340673598256727</v>
      </c>
      <c r="L21" s="14">
        <f t="shared" si="26"/>
        <v>9.187425496485346</v>
      </c>
      <c r="M21" s="14">
        <f t="shared" si="14"/>
        <v>2.890018165480082</v>
      </c>
      <c r="N21" s="14">
        <f t="shared" si="27"/>
        <v>4.163503943520193</v>
      </c>
      <c r="O21" s="14">
        <f t="shared" si="16"/>
        <v>1.273485778040111</v>
      </c>
      <c r="P21" s="14">
        <f t="shared" si="28"/>
        <v>2.5736253417908213</v>
      </c>
      <c r="Q21" s="17">
        <f t="shared" si="18"/>
        <v>38604380126862.32</v>
      </c>
      <c r="R21" s="14">
        <f t="shared" si="0"/>
        <v>3.489422067657442</v>
      </c>
      <c r="S21" s="14">
        <f t="shared" si="19"/>
        <v>1274.5114102118807</v>
      </c>
      <c r="T21" s="14">
        <f t="shared" si="29"/>
        <v>2.8315215169129457</v>
      </c>
      <c r="U21" s="14">
        <f t="shared" si="20"/>
        <v>2.2652172135303568</v>
      </c>
      <c r="V21" s="7">
        <v>48600</v>
      </c>
      <c r="W21" s="17">
        <f t="shared" si="2"/>
        <v>2.2422528423014587E+21</v>
      </c>
      <c r="X21" s="25">
        <f t="shared" si="21"/>
        <v>71182.62991433202</v>
      </c>
      <c r="Y21" s="22">
        <f t="shared" si="3"/>
        <v>2.2652172135303568</v>
      </c>
    </row>
    <row r="22" spans="1:25" ht="9.75">
      <c r="A22" s="2">
        <v>1.5</v>
      </c>
      <c r="B22" s="3">
        <f t="shared" si="4"/>
        <v>3E+33</v>
      </c>
      <c r="C22" s="3">
        <v>3E-06</v>
      </c>
      <c r="D22" s="14">
        <f t="shared" si="22"/>
        <v>4.871826677587704</v>
      </c>
      <c r="E22" s="14">
        <f t="shared" si="6"/>
        <v>2.1045031107749756</v>
      </c>
      <c r="F22" s="14">
        <f t="shared" si="23"/>
        <v>3.031851877445409</v>
      </c>
      <c r="G22" s="14">
        <f t="shared" si="8"/>
        <v>0.9273487666704332</v>
      </c>
      <c r="H22" s="14">
        <f t="shared" si="9"/>
        <v>10.111338387446176</v>
      </c>
      <c r="I22" s="14">
        <f t="shared" si="24"/>
        <v>3.031851877445409</v>
      </c>
      <c r="J22" s="14">
        <f t="shared" si="25"/>
        <v>4.367836645004665</v>
      </c>
      <c r="K22" s="14">
        <f t="shared" si="12"/>
        <v>1.3359847675592564</v>
      </c>
      <c r="L22" s="14">
        <f t="shared" si="26"/>
        <v>12.750262949003249</v>
      </c>
      <c r="M22" s="14">
        <f t="shared" si="14"/>
        <v>3.4045775267215603</v>
      </c>
      <c r="N22" s="14">
        <f t="shared" si="27"/>
        <v>4.904803757927499</v>
      </c>
      <c r="O22" s="14">
        <f t="shared" si="16"/>
        <v>1.5002262312059385</v>
      </c>
      <c r="P22" s="14">
        <f t="shared" si="28"/>
        <v>3.031851877445409</v>
      </c>
      <c r="Q22" s="17">
        <f t="shared" si="18"/>
        <v>45477778161681.13</v>
      </c>
      <c r="R22" s="14">
        <f t="shared" si="0"/>
        <v>4.31038344363557</v>
      </c>
      <c r="S22" s="14">
        <f t="shared" si="19"/>
        <v>1574.367552787892</v>
      </c>
      <c r="T22" s="14">
        <f t="shared" si="29"/>
        <v>2.18603835990187</v>
      </c>
      <c r="U22" s="14">
        <f t="shared" si="20"/>
        <v>1.748830687921496</v>
      </c>
      <c r="V22" s="7">
        <v>48600</v>
      </c>
      <c r="W22" s="17">
        <f t="shared" si="2"/>
        <v>5.220764093991755E+21</v>
      </c>
      <c r="X22" s="25">
        <f t="shared" si="21"/>
        <v>165738.54266640492</v>
      </c>
      <c r="Y22" s="22">
        <f t="shared" si="3"/>
        <v>1.748830687921496</v>
      </c>
    </row>
    <row r="23" spans="1:25" ht="9.75">
      <c r="A23" s="2">
        <v>1.6</v>
      </c>
      <c r="B23" s="3">
        <f t="shared" si="4"/>
        <v>3.2E+33</v>
      </c>
      <c r="C23" s="3">
        <v>3E-06</v>
      </c>
      <c r="D23" s="14">
        <f t="shared" si="22"/>
        <v>6.619546942846458</v>
      </c>
      <c r="E23" s="14">
        <f t="shared" si="6"/>
        <v>2.4531143365204637</v>
      </c>
      <c r="F23" s="14">
        <f t="shared" si="23"/>
        <v>3.534078552171392</v>
      </c>
      <c r="G23" s="14">
        <f t="shared" si="8"/>
        <v>1.0809642156509285</v>
      </c>
      <c r="H23" s="14">
        <f t="shared" si="9"/>
        <v>13.738682334209628</v>
      </c>
      <c r="I23" s="14">
        <f t="shared" si="24"/>
        <v>3.534078552171392</v>
      </c>
      <c r="J23" s="14">
        <f t="shared" si="25"/>
        <v>5.09136937768398</v>
      </c>
      <c r="K23" s="14">
        <f t="shared" si="12"/>
        <v>1.5572908255125881</v>
      </c>
      <c r="L23" s="14">
        <f t="shared" si="26"/>
        <v>17.324295322910434</v>
      </c>
      <c r="M23" s="14">
        <f t="shared" si="14"/>
        <v>3.968546255805018</v>
      </c>
      <c r="N23" s="14">
        <f t="shared" si="27"/>
        <v>5.717285165694356</v>
      </c>
      <c r="O23" s="14">
        <f t="shared" si="16"/>
        <v>1.7487389098893384</v>
      </c>
      <c r="P23" s="14">
        <f t="shared" si="28"/>
        <v>3.534078552171392</v>
      </c>
      <c r="Q23" s="17">
        <f t="shared" si="18"/>
        <v>53011178282570.88</v>
      </c>
      <c r="R23" s="14">
        <f t="shared" si="0"/>
        <v>5.252352910764982</v>
      </c>
      <c r="S23" s="14">
        <f t="shared" si="19"/>
        <v>1918.4219006569097</v>
      </c>
      <c r="T23" s="14">
        <f t="shared" si="29"/>
        <v>1.7161295324412504</v>
      </c>
      <c r="U23" s="14">
        <f t="shared" si="20"/>
        <v>1.3729036259530005</v>
      </c>
      <c r="V23" s="7">
        <v>48600</v>
      </c>
      <c r="W23" s="17">
        <f t="shared" si="2"/>
        <v>1.1510281198985984E+22</v>
      </c>
      <c r="X23" s="25">
        <f t="shared" si="21"/>
        <v>365405.7523487614</v>
      </c>
      <c r="Y23" s="22">
        <f t="shared" si="3"/>
        <v>1.3729036259530005</v>
      </c>
    </row>
    <row r="24" spans="1:25" ht="9.75">
      <c r="A24" s="2">
        <v>1.7</v>
      </c>
      <c r="B24" s="3">
        <f t="shared" si="4"/>
        <v>3.4E+33</v>
      </c>
      <c r="C24" s="3">
        <v>3E-06</v>
      </c>
      <c r="D24" s="14">
        <f t="shared" si="22"/>
        <v>8.828577327738321</v>
      </c>
      <c r="E24" s="14">
        <f t="shared" si="6"/>
        <v>2.8330159528059524</v>
      </c>
      <c r="F24" s="14">
        <f t="shared" si="23"/>
        <v>4.081383720162119</v>
      </c>
      <c r="G24" s="14">
        <f t="shared" si="8"/>
        <v>1.2483677673561666</v>
      </c>
      <c r="H24" s="14">
        <f t="shared" si="9"/>
        <v>18.323462378324816</v>
      </c>
      <c r="I24" s="14">
        <f t="shared" si="24"/>
        <v>4.081383720162119</v>
      </c>
      <c r="J24" s="14">
        <f t="shared" si="25"/>
        <v>5.879844430351977</v>
      </c>
      <c r="K24" s="14">
        <f t="shared" si="12"/>
        <v>1.7984607101898575</v>
      </c>
      <c r="L24" s="14">
        <f t="shared" si="26"/>
        <v>23.10564185547128</v>
      </c>
      <c r="M24" s="14">
        <f t="shared" si="14"/>
        <v>4.5831352761531425</v>
      </c>
      <c r="N24" s="14">
        <f t="shared" si="27"/>
        <v>6.6026926833452215</v>
      </c>
      <c r="O24" s="14">
        <f t="shared" si="16"/>
        <v>2.019557407192079</v>
      </c>
      <c r="P24" s="14">
        <f t="shared" si="28"/>
        <v>4.081383720162119</v>
      </c>
      <c r="Q24" s="17">
        <f t="shared" si="18"/>
        <v>61220755802431.79</v>
      </c>
      <c r="R24" s="14">
        <f t="shared" si="0"/>
        <v>6.323918988785019</v>
      </c>
      <c r="S24" s="14">
        <f t="shared" si="19"/>
        <v>2309.811410653728</v>
      </c>
      <c r="T24" s="14">
        <f t="shared" si="29"/>
        <v>1.367151190042536</v>
      </c>
      <c r="U24" s="14">
        <f t="shared" si="20"/>
        <v>1.0937209520340287</v>
      </c>
      <c r="V24" s="7">
        <v>48600</v>
      </c>
      <c r="W24" s="17">
        <f t="shared" si="2"/>
        <v>2.4188861788251962E+22</v>
      </c>
      <c r="X24" s="25">
        <f t="shared" si="21"/>
        <v>767900.374230221</v>
      </c>
      <c r="Y24" s="22">
        <f t="shared" si="3"/>
        <v>1.0937209520340287</v>
      </c>
    </row>
    <row r="25" spans="1:25" ht="9.75">
      <c r="A25" s="2">
        <v>1.8</v>
      </c>
      <c r="B25" s="3">
        <f t="shared" si="4"/>
        <v>3.5999999999999997E+33</v>
      </c>
      <c r="C25" s="3">
        <v>3E-06</v>
      </c>
      <c r="D25" s="14">
        <f t="shared" si="22"/>
        <v>11.582511710256531</v>
      </c>
      <c r="E25" s="14">
        <f t="shared" si="6"/>
        <v>3.244927749616809</v>
      </c>
      <c r="F25" s="14">
        <f t="shared" si="23"/>
        <v>4.674804346679046</v>
      </c>
      <c r="G25" s="14">
        <f t="shared" si="8"/>
        <v>1.4298765970622371</v>
      </c>
      <c r="H25" s="14">
        <f t="shared" si="9"/>
        <v>24.03917524770224</v>
      </c>
      <c r="I25" s="14">
        <f t="shared" si="24"/>
        <v>4.674804346679046</v>
      </c>
      <c r="J25" s="14">
        <f t="shared" si="25"/>
        <v>6.734755706751868</v>
      </c>
      <c r="K25" s="14">
        <f t="shared" si="12"/>
        <v>2.059951360072822</v>
      </c>
      <c r="L25" s="14">
        <f t="shared" si="26"/>
        <v>30.313079608325523</v>
      </c>
      <c r="M25" s="14">
        <f t="shared" si="14"/>
        <v>5.249509034040969</v>
      </c>
      <c r="N25" s="14">
        <f t="shared" si="27"/>
        <v>7.562703870113472</v>
      </c>
      <c r="O25" s="14">
        <f t="shared" si="16"/>
        <v>2.313194836072503</v>
      </c>
      <c r="P25" s="14">
        <f t="shared" si="28"/>
        <v>4.674804346679046</v>
      </c>
      <c r="Q25" s="17">
        <f t="shared" si="18"/>
        <v>70122065200185.695</v>
      </c>
      <c r="R25" s="14">
        <f t="shared" si="0"/>
        <v>7.533703853902624</v>
      </c>
      <c r="S25" s="14">
        <f t="shared" si="19"/>
        <v>2751.6853326379337</v>
      </c>
      <c r="T25" s="14">
        <f t="shared" si="29"/>
        <v>1.1033876174442432</v>
      </c>
      <c r="U25" s="14">
        <f t="shared" si="20"/>
        <v>0.8827100939553946</v>
      </c>
      <c r="V25" s="7">
        <v>48600</v>
      </c>
      <c r="W25" s="17">
        <f t="shared" si="2"/>
        <v>4.871966951708472E+22</v>
      </c>
      <c r="X25" s="25">
        <f t="shared" si="21"/>
        <v>1546656.1751455467</v>
      </c>
      <c r="Y25" s="22">
        <f t="shared" si="3"/>
        <v>0.8827100939553946</v>
      </c>
    </row>
    <row r="26" spans="1:25" ht="9.75">
      <c r="A26" s="2">
        <v>1.9</v>
      </c>
      <c r="B26" s="3">
        <f t="shared" si="4"/>
        <v>3.7999999999999994E+33</v>
      </c>
      <c r="C26" s="3">
        <v>3E-06</v>
      </c>
      <c r="D26" s="14">
        <f t="shared" si="22"/>
        <v>14.974004291004041</v>
      </c>
      <c r="E26" s="14">
        <f t="shared" si="6"/>
        <v>3.6895434912249017</v>
      </c>
      <c r="F26" s="14">
        <f t="shared" si="23"/>
        <v>5.315339903046021</v>
      </c>
      <c r="G26" s="14">
        <f t="shared" si="8"/>
        <v>1.6257964118211192</v>
      </c>
      <c r="H26" s="14">
        <f t="shared" si="9"/>
        <v>31.07812211340461</v>
      </c>
      <c r="I26" s="14">
        <f t="shared" si="24"/>
        <v>5.315339903046021</v>
      </c>
      <c r="J26" s="14">
        <f t="shared" si="25"/>
        <v>7.657543094995079</v>
      </c>
      <c r="K26" s="14">
        <f t="shared" si="12"/>
        <v>2.342203191949058</v>
      </c>
      <c r="L26" s="14">
        <f t="shared" si="26"/>
        <v>39.189097795314055</v>
      </c>
      <c r="M26" s="14">
        <f t="shared" si="14"/>
        <v>5.968789872427626</v>
      </c>
      <c r="N26" s="14">
        <f t="shared" si="27"/>
        <v>8.598935629101007</v>
      </c>
      <c r="O26" s="14">
        <f t="shared" si="16"/>
        <v>2.6301457566733806</v>
      </c>
      <c r="P26" s="14">
        <f t="shared" si="28"/>
        <v>5.315339903046021</v>
      </c>
      <c r="Q26" s="17">
        <f t="shared" si="18"/>
        <v>79730098545690.31</v>
      </c>
      <c r="R26" s="14">
        <f t="shared" si="0"/>
        <v>8.890361474935249</v>
      </c>
      <c r="S26" s="14">
        <f t="shared" si="19"/>
        <v>3247.2045287200995</v>
      </c>
      <c r="T26" s="14">
        <f t="shared" si="29"/>
        <v>0.9008946263027593</v>
      </c>
      <c r="U26" s="14">
        <f t="shared" si="20"/>
        <v>0.7207157010422075</v>
      </c>
      <c r="V26" s="7">
        <v>48600</v>
      </c>
      <c r="W26" s="17">
        <f t="shared" si="2"/>
        <v>9.448171281881913E+22</v>
      </c>
      <c r="X26" s="25">
        <f t="shared" si="21"/>
        <v>2999419.4545656866</v>
      </c>
      <c r="Y26" s="22">
        <f t="shared" si="3"/>
        <v>0.7207157010422075</v>
      </c>
    </row>
    <row r="27" spans="1:25" ht="9.75">
      <c r="A27" s="5">
        <v>2</v>
      </c>
      <c r="B27" s="6">
        <f t="shared" si="4"/>
        <v>4E+33</v>
      </c>
      <c r="C27" s="6">
        <v>3E-06</v>
      </c>
      <c r="D27" s="15">
        <f t="shared" si="22"/>
        <v>19.10516655456439</v>
      </c>
      <c r="E27" s="15">
        <f t="shared" si="6"/>
        <v>4.167533230991946</v>
      </c>
      <c r="F27" s="15">
        <f t="shared" si="23"/>
        <v>6.003955701470143</v>
      </c>
      <c r="G27" s="15">
        <f t="shared" si="8"/>
        <v>1.8364224704781966</v>
      </c>
      <c r="H27" s="15">
        <f t="shared" si="9"/>
        <v>39.65223247173742</v>
      </c>
      <c r="I27" s="15">
        <f t="shared" si="24"/>
        <v>6.003955701470143</v>
      </c>
      <c r="J27" s="15">
        <f t="shared" si="25"/>
        <v>8.649597271870078</v>
      </c>
      <c r="K27" s="15">
        <f t="shared" si="12"/>
        <v>2.6456415703999356</v>
      </c>
      <c r="L27" s="15">
        <f t="shared" si="26"/>
        <v>50.00093668681487</v>
      </c>
      <c r="M27" s="15">
        <f t="shared" si="14"/>
        <v>6.742061775748834</v>
      </c>
      <c r="N27" s="15">
        <f t="shared" si="27"/>
        <v>9.712949602212625</v>
      </c>
      <c r="O27" s="15">
        <f t="shared" si="16"/>
        <v>2.970887826463791</v>
      </c>
      <c r="P27" s="15">
        <f t="shared" si="28"/>
        <v>6.003955701470143</v>
      </c>
      <c r="Q27" s="18">
        <f t="shared" si="18"/>
        <v>90059335522052.14</v>
      </c>
      <c r="R27" s="15">
        <f t="shared" si="0"/>
        <v>10.402575951086526</v>
      </c>
      <c r="S27" s="15">
        <f t="shared" si="19"/>
        <v>3799.5408661343536</v>
      </c>
      <c r="T27" s="15">
        <f t="shared" si="29"/>
        <v>0.7432544468767006</v>
      </c>
      <c r="U27" s="15">
        <f t="shared" si="20"/>
        <v>0.5946035575013605</v>
      </c>
      <c r="V27" s="8">
        <v>48600</v>
      </c>
      <c r="W27" s="18">
        <f t="shared" si="2"/>
        <v>1.7710612990672088E+23</v>
      </c>
      <c r="X27" s="26">
        <f t="shared" si="21"/>
        <v>5622416.822435584</v>
      </c>
      <c r="Y27" s="23">
        <f t="shared" si="3"/>
        <v>0.5946035575013605</v>
      </c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3" ht="12.75"/>
    <row r="44" ht="12.75"/>
  </sheetData>
  <sheetProtection/>
  <mergeCells count="11">
    <mergeCell ref="I6:K6"/>
    <mergeCell ref="M6:O6"/>
    <mergeCell ref="A5:B5"/>
    <mergeCell ref="P5:Q5"/>
    <mergeCell ref="R5:S5"/>
    <mergeCell ref="W5:X5"/>
    <mergeCell ref="A6:B6"/>
    <mergeCell ref="P6:Q6"/>
    <mergeCell ref="W6:X6"/>
    <mergeCell ref="R6:S6"/>
    <mergeCell ref="E6:G6"/>
  </mergeCells>
  <printOptions/>
  <pageMargins left="0.5" right="0.5" top="0.5" bottom="0.5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Morris</dc:creator>
  <cp:keywords/>
  <dc:description/>
  <cp:lastModifiedBy>Tom Morris</cp:lastModifiedBy>
  <cp:lastPrinted>1998-07-02T22:35:51Z</cp:lastPrinted>
  <dcterms:created xsi:type="dcterms:W3CDTF">1998-05-11T16:54:28Z</dcterms:created>
  <dcterms:modified xsi:type="dcterms:W3CDTF">2023-08-16T21:53:39Z</dcterms:modified>
  <cp:category/>
  <cp:version/>
  <cp:contentType/>
  <cp:contentStatus/>
</cp:coreProperties>
</file>